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idencia nájomného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Číselníky a pokyny" sheetId="3" state="visible" r:id="rId3"/>
  </sheets>
  <definedNames>
    <definedName name="_xlnm._FilterDatabase" localSheetId="0" hidden="1">'Evidencia nájomného'!$A$2:$W$12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.MM.YYYY"/>
    <numFmt numFmtId="165" formatCode="# ##0,00 &quot;€&quot;"/>
    <numFmt numFmtId="166" formatCode="0 %"/>
    <numFmt numFmtId="167" formatCode="0,0 %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E293B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4" fillId="6" borderId="1" pivotButton="0" quotePrefix="0" xfId="0"/>
    <xf numFmtId="165" fontId="4" fillId="6" borderId="1" pivotButton="0" quotePrefix="0" xfId="0"/>
    <xf numFmtId="0" fontId="4" fillId="6" borderId="1" applyAlignment="1" pivotButton="0" quotePrefix="0" xfId="0">
      <alignment horizontal="left" vertical="center" wrapText="1"/>
    </xf>
    <xf numFmtId="165" fontId="4" fillId="6" borderId="1" applyAlignment="1" pivotButton="0" quotePrefix="0" xfId="0">
      <alignment horizontal="right" vertical="center"/>
    </xf>
    <xf numFmtId="1" fontId="4" fillId="6" borderId="1" applyAlignment="1" pivotButton="0" quotePrefix="0" xfId="0">
      <alignment horizontal="right" vertical="center"/>
    </xf>
    <xf numFmtId="167" fontId="4" fillId="6" borderId="1" applyAlignment="1" pivotButton="0" quotePrefix="0" xfId="0">
      <alignment horizontal="right" vertical="center"/>
    </xf>
    <xf numFmtId="0" fontId="1" fillId="0" borderId="0" pivotButton="0" quotePrefix="0" xfId="0"/>
    <xf numFmtId="0" fontId="3" fillId="3" borderId="1" pivotButton="0" quotePrefix="0" xfId="0"/>
    <xf numFmtId="165" fontId="0" fillId="3" borderId="1" applyAlignment="1" pivotButton="0" quotePrefix="0" xfId="0">
      <alignment horizontal="right" vertical="center"/>
    </xf>
    <xf numFmtId="0" fontId="3" fillId="0" borderId="1" pivotButton="0" quotePrefix="0" xfId="0"/>
    <xf numFmtId="165" fontId="0" fillId="0" borderId="1" applyAlignment="1" pivotButton="0" quotePrefix="0" xfId="0">
      <alignment horizontal="right" vertical="center"/>
    </xf>
    <xf numFmtId="165" fontId="0" fillId="0" borderId="1" pivotButton="0" quotePrefix="0" xfId="0"/>
    <xf numFmtId="166" fontId="3" fillId="3" borderId="1" pivotButton="0" quotePrefix="0" xfId="0"/>
    <xf numFmtId="166" fontId="3" fillId="0" borderId="1" pivotButton="0" quotePrefix="0" xfId="0"/>
    <xf numFmtId="0" fontId="4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5" fontId="4" fillId="6" borderId="1" pivotButton="0" quotePrefix="0" xfId="0"/>
    <xf numFmtId="165" fontId="4" fillId="6" borderId="1" applyAlignment="1" pivotButton="0" quotePrefix="0" xfId="0">
      <alignment horizontal="right" vertical="center"/>
    </xf>
    <xf numFmtId="167" fontId="4" fillId="6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5" fontId="0" fillId="0" borderId="1" pivotButton="0" quotePrefix="0" xfId="0"/>
    <xf numFmtId="166" fontId="3" fillId="3" borderId="1" pivotButton="0" quotePrefix="0" xfId="0"/>
    <xf numFmtId="166" fontId="3" fillId="0" borderId="1" pivotButton="0" quotePrefix="0" xfId="0"/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Predpis vs úhrada podľa mesta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'Prehľad'!$A$15:$A$24</f>
            </numRef>
          </cat>
          <val>
            <numRef>
              <f>'Prehľad'!$B$15:$B$24</f>
            </numRef>
          </val>
        </ser>
        <ser>
          <idx val="1"/>
          <order val="1"/>
          <tx>
            <strRef>
              <f>'Prehľad'!C14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'Prehľad'!$A$15:$A$24</f>
            </numRef>
          </cat>
          <val>
            <numRef>
              <f>'Prehľad'!$C$15:$C$24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úhrad</a:t>
            </a:r>
          </a:p>
        </rich>
      </tx>
    </title>
    <plotArea>
      <pieChart>
        <varyColors val="1"/>
        <ser>
          <idx val="0"/>
          <order val="0"/>
          <tx>
            <strRef>
              <f>'Prehľad'!G14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'Prehľad'!$F$15:$F$18</f>
            </numRef>
          </cat>
          <val>
            <numRef>
              <f>'Prehľad'!$G$15:$G$18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Mesačný vývoj predpisov a úhrad (2026)</a:t>
            </a:r>
          </a:p>
        </rich>
      </tx>
    </title>
    <plotArea>
      <lineChart>
        <grouping val="standard"/>
        <ser>
          <idx val="0"/>
          <order val="0"/>
          <tx>
            <strRef>
              <f>'Prehľad'!G21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'Prehľad'!$F$22:$F$30</f>
            </numRef>
          </cat>
          <val>
            <numRef>
              <f>'Prehľad'!$G$22:$G$30</f>
            </numRef>
          </val>
        </ser>
        <ser>
          <idx val="1"/>
          <order val="1"/>
          <tx>
            <strRef>
              <f>'Prehľad'!H21</f>
            </strRef>
          </tx>
          <spPr>
            <a:ln xmlns:a="http://schemas.openxmlformats.org/drawingml/2006/main" w="25000">
              <a:solidFill>
                <a:srgbClr val="22C5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'Prehľad'!$F$22:$F$30</f>
            </numRef>
          </cat>
          <val>
            <numRef>
              <f>'Prehľad'!$H$22:$H$30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26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32</row>
      <rowOff>0</rowOff>
    </from>
    <ext cx="36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32</row>
      <rowOff>0</rowOff>
    </from>
    <ext cx="36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4" customWidth="1" min="3" max="3"/>
    <col width="18" customWidth="1" min="4" max="4"/>
    <col width="30" customWidth="1" min="5" max="5"/>
    <col width="16" customWidth="1" min="6" max="6"/>
    <col width="14" customWidth="1" min="7" max="7"/>
    <col width="13" customWidth="1" min="8" max="8"/>
    <col width="13" customWidth="1" min="9" max="9"/>
    <col width="25" customWidth="1" min="10" max="10"/>
    <col width="16" customWidth="1" min="11" max="11"/>
    <col width="10" customWidth="1" min="12" max="12"/>
    <col width="12" customWidth="1" min="13" max="13"/>
    <col width="14" customWidth="1" min="14" max="14"/>
    <col width="14" customWidth="1" min="15" max="15"/>
    <col width="13" customWidth="1" min="16" max="16"/>
    <col width="13" customWidth="1" min="17" max="17"/>
    <col width="14" customWidth="1" min="18" max="18"/>
    <col width="12" customWidth="1" min="19" max="19"/>
    <col width="20" customWidth="1" min="20" max="20"/>
    <col width="16" customWidth="1" min="21" max="21"/>
    <col width="15" customWidth="1" min="22" max="22"/>
    <col width="26" customWidth="1" min="23" max="23"/>
  </cols>
  <sheetData>
    <row r="1" ht="26" customHeight="1">
      <c r="A1" s="1" t="inlineStr">
        <is>
          <t>Evidencia nájomného – prehľad nájomných zmlúv, predpisov a úhrad (2026)</t>
        </is>
      </c>
    </row>
    <row r="2" ht="40" customHeight="1">
      <c r="A2" s="2" t="inlineStr">
        <is>
          <t>ID záznamu</t>
        </is>
      </c>
      <c r="B2" s="2" t="inlineStr">
        <is>
          <t>Nájomca</t>
        </is>
      </c>
      <c r="C2" s="2" t="inlineStr">
        <is>
          <t>IČO / RČ</t>
        </is>
      </c>
      <c r="D2" s="2" t="inlineStr">
        <is>
          <t>Typ nájmu</t>
        </is>
      </c>
      <c r="E2" s="2" t="inlineStr">
        <is>
          <t>Adresa nehnuteľnosti</t>
        </is>
      </c>
      <c r="F2" s="2" t="inlineStr">
        <is>
          <t>Mesto</t>
        </is>
      </c>
      <c r="G2" s="2" t="inlineStr">
        <is>
          <t>Číslo zmluvy</t>
        </is>
      </c>
      <c r="H2" s="2" t="inlineStr">
        <is>
          <t>Začiatok nájmu</t>
        </is>
      </c>
      <c r="I2" s="2" t="inlineStr">
        <is>
          <t>Koniec nájmu</t>
        </is>
      </c>
      <c r="J2" s="2" t="inlineStr">
        <is>
          <t>Obdobie nájmu</t>
        </is>
      </c>
      <c r="K2" s="2" t="inlineStr">
        <is>
          <t>Mesačné nájomné bez DPH</t>
        </is>
      </c>
      <c r="L2" s="2" t="inlineStr">
        <is>
          <t>DPH sadzba</t>
        </is>
      </c>
      <c r="M2" s="2" t="inlineStr">
        <is>
          <t>DPH</t>
        </is>
      </c>
      <c r="N2" s="2" t="inlineStr">
        <is>
          <t>Služby a energie</t>
        </is>
      </c>
      <c r="O2" s="2" t="inlineStr">
        <is>
          <t>Predpis spolu</t>
        </is>
      </c>
      <c r="P2" s="2" t="inlineStr">
        <is>
          <t>Dátum splatnosti</t>
        </is>
      </c>
      <c r="Q2" s="2" t="inlineStr">
        <is>
          <t>Dátum úhrady</t>
        </is>
      </c>
      <c r="R2" s="2" t="inlineStr">
        <is>
          <t>Uhradená suma</t>
        </is>
      </c>
      <c r="S2" s="2" t="inlineStr">
        <is>
          <t>Zostatok</t>
        </is>
      </c>
      <c r="T2" s="2" t="inlineStr">
        <is>
          <t>Stav úhrady</t>
        </is>
      </c>
      <c r="U2" s="2" t="inlineStr">
        <is>
          <t>Spôsob úhrady</t>
        </is>
      </c>
      <c r="V2" s="2" t="inlineStr">
        <is>
          <t>Variabilný symbol</t>
        </is>
      </c>
      <c r="W2" s="2" t="inlineStr">
        <is>
          <t>Poznámka</t>
        </is>
      </c>
    </row>
    <row r="3">
      <c r="A3" s="3" t="n">
        <v>1</v>
      </c>
      <c r="B3" s="4" t="inlineStr">
        <is>
          <t>Ján Novák</t>
        </is>
      </c>
      <c r="C3" s="4" t="inlineStr">
        <is>
          <t>900515/1234</t>
        </is>
      </c>
      <c r="D3" s="4" t="inlineStr">
        <is>
          <t>Byt</t>
        </is>
      </c>
      <c r="E3" s="4" t="inlineStr">
        <is>
          <t>Miletičova 12, 3. poschodie</t>
        </is>
      </c>
      <c r="F3" s="4" t="inlineStr">
        <is>
          <t>Bratislava</t>
        </is>
      </c>
      <c r="G3" s="4" t="inlineStr">
        <is>
          <t>NAJ-2026-001</t>
        </is>
      </c>
      <c r="H3" s="29" t="n">
        <v>46023</v>
      </c>
      <c r="I3" s="29" t="n">
        <v>46387</v>
      </c>
      <c r="J3" s="6">
        <f>IF(AND(H3&lt;&gt;"",I3&lt;&gt;""),TEXT(H3,"DD.MM.YYYY")&amp;" – "&amp;TEXT(I3,"DD.MM.YYYY"),"")</f>
        <v/>
      </c>
      <c r="K3" s="30" t="n">
        <v>550</v>
      </c>
      <c r="L3" s="31">
        <f>IFERROR(VLOOKUP(D3,'Číselníky a pokyny'!$A$4:$B$6,2,FALSE),0)</f>
        <v/>
      </c>
      <c r="M3" s="32">
        <f>ROUND(K3*L3,2)</f>
        <v/>
      </c>
      <c r="N3" s="30" t="n">
        <v>120</v>
      </c>
      <c r="O3" s="32">
        <f>K3+M3+N3</f>
        <v/>
      </c>
      <c r="P3" s="29" t="n">
        <v>46032</v>
      </c>
      <c r="Q3" s="29" t="n">
        <v>46030</v>
      </c>
      <c r="R3" s="30" t="n">
        <v>670</v>
      </c>
      <c r="S3" s="32">
        <f>O3-R3</f>
        <v/>
      </c>
      <c r="T3" s="6">
        <f>IF(R3&gt;=O3,"Uhradené",IF(OR(R3=0,Q3=""),IF(TODAY()&gt;P3,"Po splatnosti","Neuhradené"),IF(Q3&gt;P3,"Po splatnosti","Čiastočne uhradené")))</f>
        <v/>
      </c>
      <c r="U3" s="4" t="inlineStr">
        <is>
          <t>Bankový prevod</t>
        </is>
      </c>
      <c r="V3" s="4" t="inlineStr">
        <is>
          <t>2026001</t>
        </is>
      </c>
      <c r="W3" s="4" t="inlineStr">
        <is>
          <t>Pravidelný platiteľ</t>
        </is>
      </c>
    </row>
    <row r="4">
      <c r="A4" s="3" t="n">
        <v>2</v>
      </c>
      <c r="B4" s="4" t="inlineStr">
        <is>
          <t>Mária Kováčová</t>
        </is>
      </c>
      <c r="C4" s="4" t="inlineStr">
        <is>
          <t>925820/5678</t>
        </is>
      </c>
      <c r="D4" s="4" t="inlineStr">
        <is>
          <t>Byt</t>
        </is>
      </c>
      <c r="E4" s="4" t="inlineStr">
        <is>
          <t>Hlavná 45</t>
        </is>
      </c>
      <c r="F4" s="4" t="inlineStr">
        <is>
          <t>Košice</t>
        </is>
      </c>
      <c r="G4" s="4" t="inlineStr">
        <is>
          <t>NAJ-2026-002</t>
        </is>
      </c>
      <c r="H4" s="29" t="n">
        <v>46023</v>
      </c>
      <c r="I4" s="29" t="n">
        <v>46387</v>
      </c>
      <c r="J4" s="10">
        <f>IF(AND(H4&lt;&gt;"",I4&lt;&gt;""),TEXT(H4,"DD.MM.YYYY")&amp;" – "&amp;TEXT(I4,"DD.MM.YYYY"),"")</f>
        <v/>
      </c>
      <c r="K4" s="30" t="n">
        <v>480</v>
      </c>
      <c r="L4" s="33">
        <f>IFERROR(VLOOKUP(D4,'Číselníky a pokyny'!$A$4:$B$6,2,FALSE),0)</f>
        <v/>
      </c>
      <c r="M4" s="34">
        <f>ROUND(K4*L4,2)</f>
        <v/>
      </c>
      <c r="N4" s="30" t="n">
        <v>95</v>
      </c>
      <c r="O4" s="34">
        <f>K4+M4+N4</f>
        <v/>
      </c>
      <c r="P4" s="29" t="n">
        <v>46063</v>
      </c>
      <c r="Q4" s="29" t="n">
        <v>46058</v>
      </c>
      <c r="R4" s="30" t="n">
        <v>575</v>
      </c>
      <c r="S4" s="34">
        <f>O4-R4</f>
        <v/>
      </c>
      <c r="T4" s="10">
        <f>IF(R4&gt;=O4,"Uhradené",IF(OR(R4=0,Q4=""),IF(TODAY()&gt;P4,"Po splatnosti","Neuhradené"),IF(Q4&gt;P4,"Po splatnosti","Čiastočne uhradené")))</f>
        <v/>
      </c>
      <c r="U4" s="4" t="inlineStr">
        <is>
          <t>Trvalý príkaz</t>
        </is>
      </c>
      <c r="V4" s="4" t="inlineStr">
        <is>
          <t>2026002</t>
        </is>
      </c>
      <c r="W4" s="4" t="inlineStr"/>
    </row>
    <row r="5">
      <c r="A5" s="3" t="n">
        <v>3</v>
      </c>
      <c r="B5" s="4" t="inlineStr">
        <is>
          <t>Peter Horváth</t>
        </is>
      </c>
      <c r="C5" s="4" t="inlineStr">
        <is>
          <t>36789123</t>
        </is>
      </c>
      <c r="D5" s="4" t="inlineStr">
        <is>
          <t>Nebytový priestor</t>
        </is>
      </c>
      <c r="E5" s="4" t="inlineStr">
        <is>
          <t>Nám. SNP 8 – kancelária</t>
        </is>
      </c>
      <c r="F5" s="4" t="inlineStr">
        <is>
          <t>Žilina</t>
        </is>
      </c>
      <c r="G5" s="4" t="inlineStr">
        <is>
          <t>NAJ-2026-003</t>
        </is>
      </c>
      <c r="H5" s="29" t="n">
        <v>46054</v>
      </c>
      <c r="I5" s="29" t="n">
        <v>46418</v>
      </c>
      <c r="J5" s="6">
        <f>IF(AND(H5&lt;&gt;"",I5&lt;&gt;""),TEXT(H5,"DD.MM.YYYY")&amp;" – "&amp;TEXT(I5,"DD.MM.YYYY"),"")</f>
        <v/>
      </c>
      <c r="K5" s="30" t="n">
        <v>950</v>
      </c>
      <c r="L5" s="31">
        <f>IFERROR(VLOOKUP(D5,'Číselníky a pokyny'!$A$4:$B$6,2,FALSE),0)</f>
        <v/>
      </c>
      <c r="M5" s="32">
        <f>ROUND(K5*L5,2)</f>
        <v/>
      </c>
      <c r="N5" s="30" t="n">
        <v>210</v>
      </c>
      <c r="O5" s="32">
        <f>K5+M5+N5</f>
        <v/>
      </c>
      <c r="P5" s="29" t="n">
        <v>46091</v>
      </c>
      <c r="Q5" s="29" t="n">
        <v>46093</v>
      </c>
      <c r="R5" s="30" t="n">
        <v>1350</v>
      </c>
      <c r="S5" s="32">
        <f>O5-R5</f>
        <v/>
      </c>
      <c r="T5" s="6">
        <f>IF(R5&gt;=O5,"Uhradené",IF(OR(R5=0,Q5=""),IF(TODAY()&gt;P5,"Po splatnosti","Neuhradené"),IF(Q5&gt;P5,"Po splatnosti","Čiastočne uhradené")))</f>
        <v/>
      </c>
      <c r="U5" s="4" t="inlineStr">
        <is>
          <t>Bankový prevod</t>
        </is>
      </c>
      <c r="V5" s="4" t="inlineStr">
        <is>
          <t>2026003</t>
        </is>
      </c>
      <c r="W5" s="4" t="inlineStr">
        <is>
          <t>Úhrada po splatnosti</t>
        </is>
      </c>
    </row>
    <row r="6">
      <c r="A6" s="3" t="n">
        <v>4</v>
      </c>
      <c r="B6" s="4" t="inlineStr">
        <is>
          <t>Zuzana Tóthová</t>
        </is>
      </c>
      <c r="C6" s="4" t="inlineStr">
        <is>
          <t>956710/2345</t>
        </is>
      </c>
      <c r="D6" s="4" t="inlineStr">
        <is>
          <t>Garáž</t>
        </is>
      </c>
      <c r="E6" s="4" t="inlineStr">
        <is>
          <t>Štúrova 3 – garáž č. 7</t>
        </is>
      </c>
      <c r="F6" s="4" t="inlineStr">
        <is>
          <t>Nitra</t>
        </is>
      </c>
      <c r="G6" s="4" t="inlineStr">
        <is>
          <t>NAJ-2026-004</t>
        </is>
      </c>
      <c r="H6" s="29" t="n">
        <v>46082</v>
      </c>
      <c r="I6" s="29" t="n">
        <v>46387</v>
      </c>
      <c r="J6" s="10">
        <f>IF(AND(H6&lt;&gt;"",I6&lt;&gt;""),TEXT(H6,"DD.MM.YYYY")&amp;" – "&amp;TEXT(I6,"DD.MM.YYYY"),"")</f>
        <v/>
      </c>
      <c r="K6" s="30" t="n">
        <v>80</v>
      </c>
      <c r="L6" s="33">
        <f>IFERROR(VLOOKUP(D6,'Číselníky a pokyny'!$A$4:$B$6,2,FALSE),0)</f>
        <v/>
      </c>
      <c r="M6" s="34">
        <f>ROUND(K6*L6,2)</f>
        <v/>
      </c>
      <c r="N6" s="30" t="n">
        <v>15</v>
      </c>
      <c r="O6" s="34">
        <f>K6+M6+N6</f>
        <v/>
      </c>
      <c r="P6" s="29" t="n">
        <v>46122</v>
      </c>
      <c r="Q6" s="29" t="n">
        <v>46121</v>
      </c>
      <c r="R6" s="30" t="n">
        <v>114</v>
      </c>
      <c r="S6" s="34">
        <f>O6-R6</f>
        <v/>
      </c>
      <c r="T6" s="10">
        <f>IF(R6&gt;=O6,"Uhradené",IF(OR(R6=0,Q6=""),IF(TODAY()&gt;P6,"Po splatnosti","Neuhradené"),IF(Q6&gt;P6,"Po splatnosti","Čiastočne uhradené")))</f>
        <v/>
      </c>
      <c r="U6" s="4" t="inlineStr">
        <is>
          <t>Hotovosť</t>
        </is>
      </c>
      <c r="V6" s="4" t="inlineStr">
        <is>
          <t>2026004</t>
        </is>
      </c>
      <c r="W6" s="4" t="inlineStr"/>
    </row>
    <row r="7">
      <c r="A7" s="3" t="n">
        <v>5</v>
      </c>
      <c r="B7" s="4" t="inlineStr">
        <is>
          <t>Martin Baláž</t>
        </is>
      </c>
      <c r="C7" s="4" t="inlineStr">
        <is>
          <t>880303/7890</t>
        </is>
      </c>
      <c r="D7" s="4" t="inlineStr">
        <is>
          <t>Byt</t>
        </is>
      </c>
      <c r="E7" s="4" t="inlineStr">
        <is>
          <t>Karpatská 22</t>
        </is>
      </c>
      <c r="F7" s="4" t="inlineStr">
        <is>
          <t>Prešov</t>
        </is>
      </c>
      <c r="G7" s="4" t="inlineStr">
        <is>
          <t>NAJ-2026-005</t>
        </is>
      </c>
      <c r="H7" s="29" t="n">
        <v>46113</v>
      </c>
      <c r="I7" s="29" t="n">
        <v>46387</v>
      </c>
      <c r="J7" s="6">
        <f>IF(AND(H7&lt;&gt;"",I7&lt;&gt;""),TEXT(H7,"DD.MM.YYYY")&amp;" – "&amp;TEXT(I7,"DD.MM.YYYY"),"")</f>
        <v/>
      </c>
      <c r="K7" s="30" t="n">
        <v>420</v>
      </c>
      <c r="L7" s="31">
        <f>IFERROR(VLOOKUP(D7,'Číselníky a pokyny'!$A$4:$B$6,2,FALSE),0)</f>
        <v/>
      </c>
      <c r="M7" s="32">
        <f>ROUND(K7*L7,2)</f>
        <v/>
      </c>
      <c r="N7" s="30" t="n">
        <v>100</v>
      </c>
      <c r="O7" s="32">
        <f>K7+M7+N7</f>
        <v/>
      </c>
      <c r="P7" s="29" t="n">
        <v>46152</v>
      </c>
      <c r="Q7" s="29" t="n">
        <v>46149</v>
      </c>
      <c r="R7" s="30" t="n">
        <v>300</v>
      </c>
      <c r="S7" s="32">
        <f>O7-R7</f>
        <v/>
      </c>
      <c r="T7" s="6">
        <f>IF(R7&gt;=O7,"Uhradené",IF(OR(R7=0,Q7=""),IF(TODAY()&gt;P7,"Po splatnosti","Neuhradené"),IF(Q7&gt;P7,"Po splatnosti","Čiastočne uhradené")))</f>
        <v/>
      </c>
      <c r="U7" s="4" t="inlineStr">
        <is>
          <t>Bankový prevod</t>
        </is>
      </c>
      <c r="V7" s="4" t="inlineStr">
        <is>
          <t>2026005</t>
        </is>
      </c>
      <c r="W7" s="4" t="inlineStr">
        <is>
          <t>Čiastočná úhrada</t>
        </is>
      </c>
    </row>
    <row r="8">
      <c r="A8" s="3" t="n">
        <v>6</v>
      </c>
      <c r="B8" s="4" t="inlineStr">
        <is>
          <t>Katarína Hudáková</t>
        </is>
      </c>
      <c r="C8" s="4" t="inlineStr">
        <is>
          <t>915411/3456</t>
        </is>
      </c>
      <c r="D8" s="4" t="inlineStr">
        <is>
          <t>Byt</t>
        </is>
      </c>
      <c r="E8" s="4" t="inlineStr">
        <is>
          <t>Nábrežie slobody 14</t>
        </is>
      </c>
      <c r="F8" s="4" t="inlineStr">
        <is>
          <t>Banská Bystrica</t>
        </is>
      </c>
      <c r="G8" s="4" t="inlineStr">
        <is>
          <t>NAJ-2026-006</t>
        </is>
      </c>
      <c r="H8" s="29" t="n">
        <v>46143</v>
      </c>
      <c r="I8" s="29" t="n">
        <v>46507</v>
      </c>
      <c r="J8" s="10">
        <f>IF(AND(H8&lt;&gt;"",I8&lt;&gt;""),TEXT(H8,"DD.MM.YYYY")&amp;" – "&amp;TEXT(I8,"DD.MM.YYYY"),"")</f>
        <v/>
      </c>
      <c r="K8" s="30" t="n">
        <v>510</v>
      </c>
      <c r="L8" s="33">
        <f>IFERROR(VLOOKUP(D8,'Číselníky a pokyny'!$A$4:$B$6,2,FALSE),0)</f>
        <v/>
      </c>
      <c r="M8" s="34">
        <f>ROUND(K8*L8,2)</f>
        <v/>
      </c>
      <c r="N8" s="30" t="n">
        <v>130</v>
      </c>
      <c r="O8" s="34">
        <f>K8+M8+N8</f>
        <v/>
      </c>
      <c r="P8" s="29" t="n">
        <v>46183</v>
      </c>
      <c r="Q8" s="29" t="n"/>
      <c r="R8" s="30" t="n">
        <v>0</v>
      </c>
      <c r="S8" s="34">
        <f>O8-R8</f>
        <v/>
      </c>
      <c r="T8" s="10">
        <f>IF(R8&gt;=O8,"Uhradené",IF(OR(R8=0,Q8=""),IF(TODAY()&gt;P8,"Po splatnosti","Neuhradené"),IF(Q8&gt;P8,"Po splatnosti","Čiastočne uhradené")))</f>
        <v/>
      </c>
      <c r="U8" s="4" t="inlineStr"/>
      <c r="V8" s="4" t="inlineStr">
        <is>
          <t>2026006</t>
        </is>
      </c>
      <c r="W8" s="4" t="inlineStr">
        <is>
          <t>Čaká sa na úhradu</t>
        </is>
      </c>
    </row>
    <row r="9">
      <c r="A9" s="3" t="n">
        <v>7</v>
      </c>
      <c r="B9" s="4" t="inlineStr">
        <is>
          <t>Lukáš Varga</t>
        </is>
      </c>
      <c r="C9" s="4" t="inlineStr">
        <is>
          <t>48123456</t>
        </is>
      </c>
      <c r="D9" s="4" t="inlineStr">
        <is>
          <t>Nebytový priestor</t>
        </is>
      </c>
      <c r="E9" s="4" t="inlineStr">
        <is>
          <t>Hornopotocká 5 – predajňa</t>
        </is>
      </c>
      <c r="F9" s="4" t="inlineStr">
        <is>
          <t>Trnava</t>
        </is>
      </c>
      <c r="G9" s="4" t="inlineStr">
        <is>
          <t>NAJ-2026-007</t>
        </is>
      </c>
      <c r="H9" s="29" t="n">
        <v>46174</v>
      </c>
      <c r="I9" s="29" t="n">
        <v>46538</v>
      </c>
      <c r="J9" s="6">
        <f>IF(AND(H9&lt;&gt;"",I9&lt;&gt;""),TEXT(H9,"DD.MM.YYYY")&amp;" – "&amp;TEXT(I9,"DD.MM.YYYY"),"")</f>
        <v/>
      </c>
      <c r="K9" s="30" t="n">
        <v>1250</v>
      </c>
      <c r="L9" s="31">
        <f>IFERROR(VLOOKUP(D9,'Číselníky a pokyny'!$A$4:$B$6,2,FALSE),0)</f>
        <v/>
      </c>
      <c r="M9" s="32">
        <f>ROUND(K9*L9,2)</f>
        <v/>
      </c>
      <c r="N9" s="30" t="n">
        <v>250</v>
      </c>
      <c r="O9" s="32">
        <f>K9+M9+N9</f>
        <v/>
      </c>
      <c r="P9" s="29" t="n">
        <v>46213</v>
      </c>
      <c r="Q9" s="29" t="n">
        <v>46206</v>
      </c>
      <c r="R9" s="30" t="n">
        <v>1800</v>
      </c>
      <c r="S9" s="32">
        <f>O9-R9</f>
        <v/>
      </c>
      <c r="T9" s="6">
        <f>IF(R9&gt;=O9,"Uhradené",IF(OR(R9=0,Q9=""),IF(TODAY()&gt;P9,"Po splatnosti","Neuhradené"),IF(Q9&gt;P9,"Po splatnosti","Čiastočne uhradené")))</f>
        <v/>
      </c>
      <c r="U9" s="4" t="inlineStr">
        <is>
          <t>Bankový prevod</t>
        </is>
      </c>
      <c r="V9" s="4" t="inlineStr">
        <is>
          <t>2026007</t>
        </is>
      </c>
      <c r="W9" s="4" t="inlineStr"/>
    </row>
    <row r="10">
      <c r="A10" s="3" t="n">
        <v>8</v>
      </c>
      <c r="B10" s="4" t="inlineStr">
        <is>
          <t>Eva Šimková</t>
        </is>
      </c>
      <c r="C10" s="4" t="inlineStr">
        <is>
          <t>946215/6789</t>
        </is>
      </c>
      <c r="D10" s="4" t="inlineStr">
        <is>
          <t>Byt</t>
        </is>
      </c>
      <c r="E10" s="4" t="inlineStr">
        <is>
          <t>Palackého 9</t>
        </is>
      </c>
      <c r="F10" s="4" t="inlineStr">
        <is>
          <t>Trenčín</t>
        </is>
      </c>
      <c r="G10" s="4" t="inlineStr">
        <is>
          <t>NAJ-2026-008</t>
        </is>
      </c>
      <c r="H10" s="29" t="n">
        <v>46204</v>
      </c>
      <c r="I10" s="29" t="n">
        <v>46568</v>
      </c>
      <c r="J10" s="10">
        <f>IF(AND(H10&lt;&gt;"",I10&lt;&gt;""),TEXT(H10,"DD.MM.YYYY")&amp;" – "&amp;TEXT(I10,"DD.MM.YYYY"),"")</f>
        <v/>
      </c>
      <c r="K10" s="30" t="n">
        <v>460</v>
      </c>
      <c r="L10" s="33">
        <f>IFERROR(VLOOKUP(D10,'Číselníky a pokyny'!$A$4:$B$6,2,FALSE),0)</f>
        <v/>
      </c>
      <c r="M10" s="34">
        <f>ROUND(K10*L10,2)</f>
        <v/>
      </c>
      <c r="N10" s="30" t="n">
        <v>105</v>
      </c>
      <c r="O10" s="34">
        <f>K10+M10+N10</f>
        <v/>
      </c>
      <c r="P10" s="29" t="n">
        <v>46244</v>
      </c>
      <c r="Q10" s="29" t="n">
        <v>46244</v>
      </c>
      <c r="R10" s="30" t="n">
        <v>565</v>
      </c>
      <c r="S10" s="34">
        <f>O10-R10</f>
        <v/>
      </c>
      <c r="T10" s="10">
        <f>IF(R10&gt;=O10,"Uhradené",IF(OR(R10=0,Q10=""),IF(TODAY()&gt;P10,"Po splatnosti","Neuhradené"),IF(Q10&gt;P10,"Po splatnosti","Čiastočne uhradené")))</f>
        <v/>
      </c>
      <c r="U10" s="4" t="inlineStr">
        <is>
          <t>Inkaso</t>
        </is>
      </c>
      <c r="V10" s="4" t="inlineStr">
        <is>
          <t>2026008</t>
        </is>
      </c>
      <c r="W10" s="4" t="inlineStr"/>
    </row>
    <row r="11">
      <c r="A11" s="3" t="n">
        <v>9</v>
      </c>
      <c r="B11" s="4" t="inlineStr">
        <is>
          <t>Andrej Kráľ</t>
        </is>
      </c>
      <c r="C11" s="4" t="inlineStr">
        <is>
          <t>870908/4321</t>
        </is>
      </c>
      <c r="D11" s="4" t="inlineStr">
        <is>
          <t>Garáž</t>
        </is>
      </c>
      <c r="E11" s="4" t="inlineStr">
        <is>
          <t>Vajanského 18 – garáž č. 2</t>
        </is>
      </c>
      <c r="F11" s="4" t="inlineStr">
        <is>
          <t>Martin</t>
        </is>
      </c>
      <c r="G11" s="4" t="inlineStr">
        <is>
          <t>NAJ-2026-009</t>
        </is>
      </c>
      <c r="H11" s="29" t="n">
        <v>46235</v>
      </c>
      <c r="I11" s="29" t="n">
        <v>46387</v>
      </c>
      <c r="J11" s="6">
        <f>IF(AND(H11&lt;&gt;"",I11&lt;&gt;""),TEXT(H11,"DD.MM.YYYY")&amp;" – "&amp;TEXT(I11,"DD.MM.YYYY"),"")</f>
        <v/>
      </c>
      <c r="K11" s="30" t="n">
        <v>75</v>
      </c>
      <c r="L11" s="31">
        <f>IFERROR(VLOOKUP(D11,'Číselníky a pokyny'!$A$4:$B$6,2,FALSE),0)</f>
        <v/>
      </c>
      <c r="M11" s="32">
        <f>ROUND(K11*L11,2)</f>
        <v/>
      </c>
      <c r="N11" s="30" t="n">
        <v>12</v>
      </c>
      <c r="O11" s="32">
        <f>K11+M11+N11</f>
        <v/>
      </c>
      <c r="P11" s="29" t="n">
        <v>46244</v>
      </c>
      <c r="Q11" s="29" t="n"/>
      <c r="R11" s="30" t="n">
        <v>0</v>
      </c>
      <c r="S11" s="32">
        <f>O11-R11</f>
        <v/>
      </c>
      <c r="T11" s="6">
        <f>IF(R11&gt;=O11,"Uhradené",IF(OR(R11=0,Q11=""),IF(TODAY()&gt;P11,"Po splatnosti","Neuhradené"),IF(Q11&gt;P11,"Po splatnosti","Čiastočne uhradené")))</f>
        <v/>
      </c>
      <c r="U11" s="4" t="inlineStr"/>
      <c r="V11" s="4" t="inlineStr">
        <is>
          <t>2026009</t>
        </is>
      </c>
      <c r="W11" s="4" t="inlineStr">
        <is>
          <t>Po splatnosti – upomienka</t>
        </is>
      </c>
    </row>
    <row r="12">
      <c r="A12" s="3" t="n">
        <v>10</v>
      </c>
      <c r="B12" s="4" t="inlineStr">
        <is>
          <t>Veronika Poláková</t>
        </is>
      </c>
      <c r="C12" s="4" t="inlineStr">
        <is>
          <t>975612/8901</t>
        </is>
      </c>
      <c r="D12" s="4" t="inlineStr">
        <is>
          <t>Byt</t>
        </is>
      </c>
      <c r="E12" s="4" t="inlineStr">
        <is>
          <t>Štefánikova 30</t>
        </is>
      </c>
      <c r="F12" s="4" t="inlineStr">
        <is>
          <t>Poprad</t>
        </is>
      </c>
      <c r="G12" s="4" t="inlineStr">
        <is>
          <t>NAJ-2026-010</t>
        </is>
      </c>
      <c r="H12" s="29" t="n">
        <v>46266</v>
      </c>
      <c r="I12" s="29" t="n">
        <v>46630</v>
      </c>
      <c r="J12" s="10">
        <f>IF(AND(H12&lt;&gt;"",I12&lt;&gt;""),TEXT(H12,"DD.MM.YYYY")&amp;" – "&amp;TEXT(I12,"DD.MM.YYYY"),"")</f>
        <v/>
      </c>
      <c r="K12" s="30" t="n">
        <v>390</v>
      </c>
      <c r="L12" s="33">
        <f>IFERROR(VLOOKUP(D12,'Číselníky a pokyny'!$A$4:$B$6,2,FALSE),0)</f>
        <v/>
      </c>
      <c r="M12" s="34">
        <f>ROUND(K12*L12,2)</f>
        <v/>
      </c>
      <c r="N12" s="30" t="n">
        <v>90</v>
      </c>
      <c r="O12" s="34">
        <f>K12+M12+N12</f>
        <v/>
      </c>
      <c r="P12" s="29" t="n">
        <v>46275</v>
      </c>
      <c r="Q12" s="29" t="n">
        <v>46271</v>
      </c>
      <c r="R12" s="30" t="n">
        <v>480</v>
      </c>
      <c r="S12" s="34">
        <f>O12-R12</f>
        <v/>
      </c>
      <c r="T12" s="10">
        <f>IF(R12&gt;=O12,"Uhradené",IF(OR(R12=0,Q12=""),IF(TODAY()&gt;P12,"Po splatnosti","Neuhradené"),IF(Q12&gt;P12,"Po splatnosti","Čiastočne uhradené")))</f>
        <v/>
      </c>
      <c r="U12" s="4" t="inlineStr">
        <is>
          <t>Trvalý príkaz</t>
        </is>
      </c>
      <c r="V12" s="4" t="inlineStr">
        <is>
          <t>2026010</t>
        </is>
      </c>
      <c r="W12" s="4" t="inlineStr"/>
    </row>
    <row r="13">
      <c r="B13" s="13" t="inlineStr">
        <is>
          <t>Spolu:</t>
        </is>
      </c>
      <c r="K13" s="35">
        <f>SUM(K3:K12)</f>
        <v/>
      </c>
      <c r="M13" s="35">
        <f>SUM(M3:M12)</f>
        <v/>
      </c>
      <c r="N13" s="35">
        <f>SUM(N3:N12)</f>
        <v/>
      </c>
      <c r="O13" s="35">
        <f>SUM(O3:O12)</f>
        <v/>
      </c>
      <c r="R13" s="35">
        <f>SUM(R3:R12)</f>
        <v/>
      </c>
      <c r="S13" s="35">
        <f>SUM(S3:S12)</f>
        <v/>
      </c>
    </row>
  </sheetData>
  <autoFilter ref="A2:W12"/>
  <mergeCells count="1">
    <mergeCell ref="A1:W1"/>
  </mergeCells>
  <conditionalFormatting sqref="T3:T100">
    <cfRule type="expression" priority="1" dxfId="0" stopIfTrue="1">
      <formula>T3="Uhradené"</formula>
    </cfRule>
    <cfRule type="expression" priority="2" dxfId="1" stopIfTrue="1">
      <formula>OR(T3="Neuhradené",T3="Po splatnosti")</formula>
    </cfRule>
  </conditionalFormatting>
  <conditionalFormatting sqref="S3:S100">
    <cfRule type="expression" priority="3" dxfId="2" stopIfTrue="1">
      <formula>S3&gt;0</formula>
    </cfRule>
    <cfRule type="expression" priority="4" dxfId="3" stopIfTrue="1">
      <formula>S3&lt;=0</formula>
    </cfRule>
  </conditionalFormatting>
  <dataValidations count="4">
    <dataValidation sqref="D3:D100" showErrorMessage="1" showInputMessage="1" allowBlank="1" type="list">
      <formula1>"Byt,Nebytový priestor,Garáž"</formula1>
    </dataValidation>
    <dataValidation sqref="U3:U100" showErrorMessage="1" showInputMessage="1" allowBlank="1" type="list">
      <formula1>"Bankový prevod,Trvalý príkaz,Hotovosť,Inkaso"</formula1>
    </dataValidation>
    <dataValidation sqref="T3:T100" showErrorMessage="1" showInputMessage="1" allowBlank="1" type="list">
      <formula1>"Uhradené,Čiastočne uhradené,Neuhradené,Po splatnosti"</formula1>
    </dataValidation>
    <dataValidation sqref="F3:F100" showErrorMessage="1" showInputMessage="1" allowBlank="1" type="list">
      <formula1>"Bratislava,Košice,Žilina,Nitra,Prešov,Trnava,Trenčín,Martin,Poprad,Banská Bystrica"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3" customWidth="1" min="5" max="5"/>
    <col width="22" customWidth="1" min="6" max="6"/>
    <col width="14" customWidth="1" min="7" max="7"/>
    <col width="14" customWidth="1" min="8" max="8"/>
  </cols>
  <sheetData>
    <row r="1" ht="26" customHeight="1">
      <c r="A1" s="1" t="inlineStr">
        <is>
          <t>Prehľad nájomného – dashboard (2026)</t>
        </is>
      </c>
    </row>
    <row r="2"/>
    <row r="3">
      <c r="A3" s="15" t="inlineStr">
        <is>
          <t>Celkový predpis</t>
        </is>
      </c>
      <c r="B3" s="36">
        <f>SUM('Evidencia nájomného'!O3:O12)</f>
        <v/>
      </c>
    </row>
    <row r="4">
      <c r="A4" s="15" t="inlineStr">
        <is>
          <t>Celkovo uhradené</t>
        </is>
      </c>
      <c r="B4" s="36">
        <f>SUM('Evidencia nájomného'!R3:R12)</f>
        <v/>
      </c>
    </row>
    <row r="5">
      <c r="A5" s="15" t="inlineStr">
        <is>
          <t>Celkový zostatok</t>
        </is>
      </c>
      <c r="B5" s="36">
        <f>SUM('Evidencia nájomného'!S3:S12)</f>
        <v/>
      </c>
    </row>
    <row r="6">
      <c r="A6" s="15" t="inlineStr">
        <is>
          <t>Priemerné mesačné nájomné</t>
        </is>
      </c>
      <c r="B6" s="36">
        <f>IFERROR(AVERAGE('Evidencia nájomného'!K3:K12),0)</f>
        <v/>
      </c>
    </row>
    <row r="7">
      <c r="A7" s="15" t="inlineStr">
        <is>
          <t>Počet nájomcov</t>
        </is>
      </c>
      <c r="B7" s="17">
        <f>COUNTA('Evidencia nájomného'!A3:A12)</f>
        <v/>
      </c>
    </row>
    <row r="8">
      <c r="A8" s="15" t="inlineStr">
        <is>
          <t>Počet uhradených záznamov</t>
        </is>
      </c>
      <c r="B8" s="17">
        <f>COUNTIF('Evidencia nájomného'!T3:T12,"Uhradené")</f>
        <v/>
      </c>
    </row>
    <row r="9">
      <c r="A9" s="15" t="inlineStr">
        <is>
          <t>Počet neuhradených záznamov</t>
        </is>
      </c>
      <c r="B9" s="17">
        <f>COUNTIF('Evidencia nájomného'!T3:T12,"Neuhradené")+COUNTIF('Evidencia nájomného'!T3:T12,"Po splatnosti")</f>
        <v/>
      </c>
    </row>
    <row r="10">
      <c r="A10" s="15" t="inlineStr">
        <is>
          <t>Percento uhradených predpisov</t>
        </is>
      </c>
      <c r="B10" s="37">
        <f>IFERROR(COUNTIF('Evidencia nájomného'!T3:T12,"Uhradené")/COUNTA('Evidencia nájomného'!A3:A12),0)</f>
        <v/>
      </c>
    </row>
    <row r="11"/>
    <row r="12"/>
    <row r="13">
      <c r="A13" s="19" t="inlineStr">
        <is>
          <t>Súhrn podľa mesta</t>
        </is>
      </c>
      <c r="F13" s="19" t="inlineStr">
        <is>
          <t>Stav úhrad</t>
        </is>
      </c>
    </row>
    <row r="14">
      <c r="A14" s="2" t="inlineStr">
        <is>
          <t>Mesto</t>
        </is>
      </c>
      <c r="B14" s="2" t="inlineStr">
        <is>
          <t>Predpis spolu</t>
        </is>
      </c>
      <c r="C14" s="2" t="inlineStr">
        <is>
          <t>Uhradené</t>
        </is>
      </c>
      <c r="D14" s="2" t="inlineStr">
        <is>
          <t>Zostatok</t>
        </is>
      </c>
      <c r="F14" s="2" t="inlineStr">
        <is>
          <t>Stav</t>
        </is>
      </c>
      <c r="G14" s="2" t="inlineStr">
        <is>
          <t>Počet</t>
        </is>
      </c>
    </row>
    <row r="15">
      <c r="A15" s="20" t="inlineStr">
        <is>
          <t>Bratislava</t>
        </is>
      </c>
      <c r="B15" s="38">
        <f>SUMIF('Evidencia nájomného'!F3:F12,A15,'Evidencia nájomného'!O3:O12)</f>
        <v/>
      </c>
      <c r="C15" s="38">
        <f>SUMIF('Evidencia nájomného'!F3:F12,A15,'Evidencia nájomného'!R3:R12)</f>
        <v/>
      </c>
      <c r="D15" s="38">
        <f>SUMIF('Evidencia nájomného'!F3:F12,A15,'Evidencia nájomného'!S3:S12)</f>
        <v/>
      </c>
      <c r="F15" s="22" t="inlineStr">
        <is>
          <t>Uhradené</t>
        </is>
      </c>
      <c r="G15" s="22">
        <f>COUNTIF('Evidencia nájomného'!T3:T12,"Uhradené")</f>
        <v/>
      </c>
    </row>
    <row r="16">
      <c r="A16" s="22" t="inlineStr">
        <is>
          <t>Košice</t>
        </is>
      </c>
      <c r="B16" s="39">
        <f>SUMIF('Evidencia nájomného'!F3:F12,A16,'Evidencia nájomného'!O3:O12)</f>
        <v/>
      </c>
      <c r="C16" s="39">
        <f>SUMIF('Evidencia nájomného'!F3:F12,A16,'Evidencia nájomného'!R3:R12)</f>
        <v/>
      </c>
      <c r="D16" s="39">
        <f>SUMIF('Evidencia nájomného'!F3:F12,A16,'Evidencia nájomného'!S3:S12)</f>
        <v/>
      </c>
      <c r="F16" s="22" t="inlineStr">
        <is>
          <t>Čiastočne uhradené</t>
        </is>
      </c>
      <c r="G16" s="22">
        <f>COUNTIF('Evidencia nájomného'!T3:T12,"Čiastočne uhradené")</f>
        <v/>
      </c>
    </row>
    <row r="17">
      <c r="A17" s="20" t="inlineStr">
        <is>
          <t>Žilina</t>
        </is>
      </c>
      <c r="B17" s="38">
        <f>SUMIF('Evidencia nájomného'!F3:F12,A17,'Evidencia nájomného'!O3:O12)</f>
        <v/>
      </c>
      <c r="C17" s="38">
        <f>SUMIF('Evidencia nájomného'!F3:F12,A17,'Evidencia nájomného'!R3:R12)</f>
        <v/>
      </c>
      <c r="D17" s="38">
        <f>SUMIF('Evidencia nájomného'!F3:F12,A17,'Evidencia nájomného'!S3:S12)</f>
        <v/>
      </c>
      <c r="F17" s="22" t="inlineStr">
        <is>
          <t>Neuhradené</t>
        </is>
      </c>
      <c r="G17" s="22">
        <f>COUNTIF('Evidencia nájomného'!T3:T12,"Neuhradené")</f>
        <v/>
      </c>
    </row>
    <row r="18">
      <c r="A18" s="22" t="inlineStr">
        <is>
          <t>Nitra</t>
        </is>
      </c>
      <c r="B18" s="39">
        <f>SUMIF('Evidencia nájomného'!F3:F12,A18,'Evidencia nájomného'!O3:O12)</f>
        <v/>
      </c>
      <c r="C18" s="39">
        <f>SUMIF('Evidencia nájomného'!F3:F12,A18,'Evidencia nájomného'!R3:R12)</f>
        <v/>
      </c>
      <c r="D18" s="39">
        <f>SUMIF('Evidencia nájomného'!F3:F12,A18,'Evidencia nájomného'!S3:S12)</f>
        <v/>
      </c>
      <c r="F18" s="22" t="inlineStr">
        <is>
          <t>Po splatnosti</t>
        </is>
      </c>
      <c r="G18" s="22">
        <f>COUNTIF('Evidencia nájomného'!T3:T12,"Po splatnosti")</f>
        <v/>
      </c>
    </row>
    <row r="19">
      <c r="A19" s="20" t="inlineStr">
        <is>
          <t>Prešov</t>
        </is>
      </c>
      <c r="B19" s="38">
        <f>SUMIF('Evidencia nájomného'!F3:F12,A19,'Evidencia nájomného'!O3:O12)</f>
        <v/>
      </c>
      <c r="C19" s="38">
        <f>SUMIF('Evidencia nájomného'!F3:F12,A19,'Evidencia nájomného'!R3:R12)</f>
        <v/>
      </c>
      <c r="D19" s="38">
        <f>SUMIF('Evidencia nájomného'!F3:F12,A19,'Evidencia nájomného'!S3:S12)</f>
        <v/>
      </c>
    </row>
    <row r="20">
      <c r="A20" s="22" t="inlineStr">
        <is>
          <t>Banská Bystrica</t>
        </is>
      </c>
      <c r="B20" s="39">
        <f>SUMIF('Evidencia nájomného'!F3:F12,A20,'Evidencia nájomného'!O3:O12)</f>
        <v/>
      </c>
      <c r="C20" s="39">
        <f>SUMIF('Evidencia nájomného'!F3:F12,A20,'Evidencia nájomného'!R3:R12)</f>
        <v/>
      </c>
      <c r="D20" s="39">
        <f>SUMIF('Evidencia nájomného'!F3:F12,A20,'Evidencia nájomného'!S3:S12)</f>
        <v/>
      </c>
      <c r="F20" s="19" t="inlineStr">
        <is>
          <t>Mesačný vývoj 2026</t>
        </is>
      </c>
    </row>
    <row r="21">
      <c r="A21" s="20" t="inlineStr">
        <is>
          <t>Trnava</t>
        </is>
      </c>
      <c r="B21" s="38">
        <f>SUMIF('Evidencia nájomného'!F3:F12,A21,'Evidencia nájomného'!O3:O12)</f>
        <v/>
      </c>
      <c r="C21" s="38">
        <f>SUMIF('Evidencia nájomného'!F3:F12,A21,'Evidencia nájomného'!R3:R12)</f>
        <v/>
      </c>
      <c r="D21" s="38">
        <f>SUMIF('Evidencia nájomného'!F3:F12,A21,'Evidencia nájomného'!S3:S12)</f>
        <v/>
      </c>
      <c r="F21" s="2" t="inlineStr">
        <is>
          <t>Mesiac</t>
        </is>
      </c>
      <c r="G21" s="2" t="inlineStr">
        <is>
          <t>Predpis</t>
        </is>
      </c>
      <c r="H21" s="2" t="inlineStr">
        <is>
          <t>Úhrady</t>
        </is>
      </c>
    </row>
    <row r="22">
      <c r="A22" s="22" t="inlineStr">
        <is>
          <t>Trenčín</t>
        </is>
      </c>
      <c r="B22" s="39">
        <f>SUMIF('Evidencia nájomného'!F3:F12,A22,'Evidencia nájomného'!O3:O12)</f>
        <v/>
      </c>
      <c r="C22" s="39">
        <f>SUMIF('Evidencia nájomného'!F3:F12,A22,'Evidencia nájomného'!R3:R12)</f>
        <v/>
      </c>
      <c r="D22" s="39">
        <f>SUMIF('Evidencia nájomného'!F3:F12,A22,'Evidencia nájomného'!S3:S12)</f>
        <v/>
      </c>
      <c r="F22" s="22" t="inlineStr">
        <is>
          <t>Január</t>
        </is>
      </c>
      <c r="G22" s="40">
        <f>SUMPRODUCT((MONTH('Evidencia nájomného'!H3:H12)=1)*'Evidencia nájomného'!O3:O12)</f>
        <v/>
      </c>
      <c r="H22" s="40">
        <f>SUMPRODUCT((MONTH('Evidencia nájomného'!H3:H12)=1)*'Evidencia nájomného'!R3:R12)</f>
        <v/>
      </c>
    </row>
    <row r="23">
      <c r="A23" s="20" t="inlineStr">
        <is>
          <t>Martin</t>
        </is>
      </c>
      <c r="B23" s="38">
        <f>SUMIF('Evidencia nájomného'!F3:F12,A23,'Evidencia nájomného'!O3:O12)</f>
        <v/>
      </c>
      <c r="C23" s="38">
        <f>SUMIF('Evidencia nájomného'!F3:F12,A23,'Evidencia nájomného'!R3:R12)</f>
        <v/>
      </c>
      <c r="D23" s="38">
        <f>SUMIF('Evidencia nájomného'!F3:F12,A23,'Evidencia nájomného'!S3:S12)</f>
        <v/>
      </c>
      <c r="F23" s="22" t="inlineStr">
        <is>
          <t>Február</t>
        </is>
      </c>
      <c r="G23" s="40">
        <f>SUMPRODUCT((MONTH('Evidencia nájomného'!H3:H12)=2)*'Evidencia nájomného'!O3:O12)</f>
        <v/>
      </c>
      <c r="H23" s="40">
        <f>SUMPRODUCT((MONTH('Evidencia nájomného'!H3:H12)=2)*'Evidencia nájomného'!R3:R12)</f>
        <v/>
      </c>
    </row>
    <row r="24">
      <c r="A24" s="22" t="inlineStr">
        <is>
          <t>Poprad</t>
        </is>
      </c>
      <c r="B24" s="39">
        <f>SUMIF('Evidencia nájomného'!F3:F12,A24,'Evidencia nájomného'!O3:O12)</f>
        <v/>
      </c>
      <c r="C24" s="39">
        <f>SUMIF('Evidencia nájomného'!F3:F12,A24,'Evidencia nájomného'!R3:R12)</f>
        <v/>
      </c>
      <c r="D24" s="39">
        <f>SUMIF('Evidencia nájomného'!F3:F12,A24,'Evidencia nájomného'!S3:S12)</f>
        <v/>
      </c>
      <c r="F24" s="22" t="inlineStr">
        <is>
          <t>Marec</t>
        </is>
      </c>
      <c r="G24" s="40">
        <f>SUMPRODUCT((MONTH('Evidencia nájomného'!H3:H12)=3)*'Evidencia nájomného'!O3:O12)</f>
        <v/>
      </c>
      <c r="H24" s="40">
        <f>SUMPRODUCT((MONTH('Evidencia nájomného'!H3:H12)=3)*'Evidencia nájomného'!R3:R12)</f>
        <v/>
      </c>
    </row>
    <row r="25">
      <c r="F25" s="22" t="inlineStr">
        <is>
          <t>Apríl</t>
        </is>
      </c>
      <c r="G25" s="40">
        <f>SUMPRODUCT((MONTH('Evidencia nájomného'!H3:H12)=4)*'Evidencia nájomného'!O3:O12)</f>
        <v/>
      </c>
      <c r="H25" s="40">
        <f>SUMPRODUCT((MONTH('Evidencia nájomného'!H3:H12)=4)*'Evidencia nájomného'!R3:R12)</f>
        <v/>
      </c>
    </row>
    <row r="26">
      <c r="F26" s="22" t="inlineStr">
        <is>
          <t>Máj</t>
        </is>
      </c>
      <c r="G26" s="40">
        <f>SUMPRODUCT((MONTH('Evidencia nájomného'!H3:H12)=5)*'Evidencia nájomného'!O3:O12)</f>
        <v/>
      </c>
      <c r="H26" s="40">
        <f>SUMPRODUCT((MONTH('Evidencia nájomného'!H3:H12)=5)*'Evidencia nájomného'!R3:R12)</f>
        <v/>
      </c>
    </row>
    <row r="27">
      <c r="F27" s="22" t="inlineStr">
        <is>
          <t>Jún</t>
        </is>
      </c>
      <c r="G27" s="40">
        <f>SUMPRODUCT((MONTH('Evidencia nájomného'!H3:H12)=6)*'Evidencia nájomného'!O3:O12)</f>
        <v/>
      </c>
      <c r="H27" s="40">
        <f>SUMPRODUCT((MONTH('Evidencia nájomného'!H3:H12)=6)*'Evidencia nájomného'!R3:R12)</f>
        <v/>
      </c>
    </row>
    <row r="28">
      <c r="F28" s="22" t="inlineStr">
        <is>
          <t>Júl</t>
        </is>
      </c>
      <c r="G28" s="40">
        <f>SUMPRODUCT((MONTH('Evidencia nájomného'!H3:H12)=7)*'Evidencia nájomného'!O3:O12)</f>
        <v/>
      </c>
      <c r="H28" s="40">
        <f>SUMPRODUCT((MONTH('Evidencia nájomného'!H3:H12)=7)*'Evidencia nájomného'!R3:R12)</f>
        <v/>
      </c>
    </row>
    <row r="29">
      <c r="F29" s="22" t="inlineStr">
        <is>
          <t>August</t>
        </is>
      </c>
      <c r="G29" s="40">
        <f>SUMPRODUCT((MONTH('Evidencia nájomného'!H3:H12)=8)*'Evidencia nájomného'!O3:O12)</f>
        <v/>
      </c>
      <c r="H29" s="40">
        <f>SUMPRODUCT((MONTH('Evidencia nájomného'!H3:H12)=8)*'Evidencia nájomného'!R3:R12)</f>
        <v/>
      </c>
    </row>
    <row r="30">
      <c r="F30" s="22" t="inlineStr">
        <is>
          <t>September</t>
        </is>
      </c>
      <c r="G30" s="40">
        <f>SUMPRODUCT((MONTH('Evidencia nájomného'!H3:H12)=9)*'Evidencia nájomného'!O3:O12)</f>
        <v/>
      </c>
      <c r="H30" s="40">
        <f>SUMPRODUCT((MONTH('Evidencia nájomného'!H3:H12)=9)*'Evidencia nájomného'!R3:R12)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3" customWidth="1" min="3" max="3"/>
    <col width="12" customWidth="1" min="4" max="4"/>
    <col width="3" customWidth="1" min="5" max="5"/>
    <col width="18" customWidth="1" min="6" max="6"/>
    <col width="3" customWidth="1" min="7" max="7"/>
    <col width="18" customWidth="1" min="8" max="8"/>
  </cols>
  <sheetData>
    <row r="1">
      <c r="A1" s="19" t="inlineStr">
        <is>
          <t>Číselníky a pokyny – Evidencia nájomného</t>
        </is>
      </c>
    </row>
    <row r="2"/>
    <row r="3">
      <c r="A3" s="2" t="inlineStr">
        <is>
          <t>Typ nájmu</t>
        </is>
      </c>
      <c r="B3" s="2" t="inlineStr">
        <is>
          <t>Sadzba DPH</t>
        </is>
      </c>
      <c r="D3" s="2" t="inlineStr">
        <is>
          <t>DPH sadzby</t>
        </is>
      </c>
      <c r="F3" s="2" t="inlineStr">
        <is>
          <t>Spôsob úhrady</t>
        </is>
      </c>
      <c r="H3" s="2" t="inlineStr">
        <is>
          <t>Mestá</t>
        </is>
      </c>
    </row>
    <row r="4">
      <c r="A4" s="20" t="inlineStr">
        <is>
          <t>Byt</t>
        </is>
      </c>
      <c r="B4" s="41" t="n">
        <v>0</v>
      </c>
      <c r="D4" s="41" t="n">
        <v>0</v>
      </c>
      <c r="F4" s="20" t="inlineStr">
        <is>
          <t>Bankový prevod</t>
        </is>
      </c>
      <c r="H4" s="20" t="inlineStr">
        <is>
          <t>Bratislava</t>
        </is>
      </c>
    </row>
    <row r="5">
      <c r="A5" s="22" t="inlineStr">
        <is>
          <t>Nebytový priestor</t>
        </is>
      </c>
      <c r="B5" s="42" t="n">
        <v>0.2</v>
      </c>
      <c r="D5" s="42" t="n">
        <v>0.05</v>
      </c>
      <c r="F5" s="22" t="inlineStr">
        <is>
          <t>Trvalý príkaz</t>
        </is>
      </c>
      <c r="H5" s="22" t="inlineStr">
        <is>
          <t>Košice</t>
        </is>
      </c>
    </row>
    <row r="6">
      <c r="A6" s="20" t="inlineStr">
        <is>
          <t>Garáž</t>
        </is>
      </c>
      <c r="B6" s="41" t="n">
        <v>0.2</v>
      </c>
      <c r="D6" s="41" t="n">
        <v>0.1</v>
      </c>
      <c r="F6" s="20" t="inlineStr">
        <is>
          <t>Hotovosť</t>
        </is>
      </c>
      <c r="H6" s="20" t="inlineStr">
        <is>
          <t>Žilina</t>
        </is>
      </c>
    </row>
    <row r="7">
      <c r="D7" s="42" t="n">
        <v>0.2</v>
      </c>
      <c r="F7" s="22" t="inlineStr">
        <is>
          <t>Inkaso</t>
        </is>
      </c>
      <c r="H7" s="22" t="inlineStr">
        <is>
          <t>Nitra</t>
        </is>
      </c>
    </row>
    <row r="8">
      <c r="H8" s="20" t="inlineStr">
        <is>
          <t>Prešov</t>
        </is>
      </c>
    </row>
    <row r="9">
      <c r="H9" s="22" t="inlineStr">
        <is>
          <t>Trnava</t>
        </is>
      </c>
    </row>
    <row r="10">
      <c r="H10" s="20" t="inlineStr">
        <is>
          <t>Trenčín</t>
        </is>
      </c>
    </row>
    <row r="11">
      <c r="H11" s="22" t="inlineStr">
        <is>
          <t>Martin</t>
        </is>
      </c>
    </row>
    <row r="12">
      <c r="H12" s="20" t="inlineStr">
        <is>
          <t>Poprad</t>
        </is>
      </c>
    </row>
    <row r="13">
      <c r="H13" s="22" t="inlineStr">
        <is>
          <t>Banská Bystrica</t>
        </is>
      </c>
    </row>
    <row r="14"/>
    <row r="15"/>
    <row r="16">
      <c r="A16" s="27" t="inlineStr">
        <is>
          <t>Pokyny k používaniu evidencie nájomného:</t>
        </is>
      </c>
    </row>
    <row r="17">
      <c r="A17" s="28" t="inlineStr">
        <is>
          <t>1. Žlté bunky sú určené na zadávanie údajov (nájomca, zmluva, sumy, dátumy, úhrady).</t>
        </is>
      </c>
    </row>
    <row r="18">
      <c r="A18" s="28" t="inlineStr">
        <is>
          <t>2. Biele bunky obsahujú vzorce – neprepisujte ich (Obdobie nájmu, DPH, Predpis spolu, Zostatok, Stav úhrady).</t>
        </is>
      </c>
    </row>
    <row r="19">
      <c r="A19" s="28" t="inlineStr">
        <is>
          <t>3. Sadzba DPH sa dopĺňa automaticky podľa typu nájmu (VLOOKUP z číselníka): byt 0 %, nebytový priestor a garáž 20 %.</t>
        </is>
      </c>
    </row>
    <row r="20">
      <c r="A20" s="28" t="inlineStr">
        <is>
          <t>4. Správny DPH režim (registrácia, oslobodenie) overte podľa pokynov Finančnej správy SR.</t>
        </is>
      </c>
    </row>
    <row r="21">
      <c r="A21" s="28" t="inlineStr">
        <is>
          <t>5. Úhrady aktualizujte pravidelne podľa bankového výpisu – stĺpce Dátum úhrady, Uhradená suma, Spôsob úhrady.</t>
        </is>
      </c>
    </row>
    <row r="22">
      <c r="A22" s="28" t="inlineStr">
        <is>
          <t>6. Neuhradené záznamy a záznamy po splatnosti kontrolujte po dátume splatnosti (stĺpec P).</t>
        </is>
      </c>
    </row>
    <row r="23">
      <c r="A23" s="28" t="inlineStr">
        <is>
          <t>7. Hárok Prehľad zobrazuje súhrnné ukazovatele a grafy – aktualizuje sa automaticky.</t>
        </is>
      </c>
    </row>
    <row r="24">
      <c r="A24" s="28" t="inlineStr">
        <is>
          <t>8. Pri spracovaní osobných údajov nájomcov (meno, IČO/RČ) dodržiavajte nariadenie GDPR.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2026-08-01T17:52:32Z</dcterms:created>
  <dcterms:modified xmlns:dcterms="http://purl.org/dc/terms/" xmlns:xsi="http://www.w3.org/2001/XMLSchema-instance" xsi:type="dcterms:W3CDTF">2026-08-01T17:52:32Z</dcterms:modified>
</cp:coreProperties>
</file>